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Cover" sheetId="1" r:id="rId1"/>
    <sheet name="Assumptions" sheetId="2" r:id="rId2"/>
    <sheet name="Debt_Schedule" sheetId="3" r:id="rId3"/>
    <sheet name="Annual_Model" sheetId="4" r:id="rId4"/>
    <sheet name="Checks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4" fontId="0" fillId="0" borderId="0" xfId="0" applyNumberFormat="1"/>
    <xf numFmtId="10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/>
  </sheetViews>
  <cols>
    <col min="1" max="1" width="100.83203125" customWidth="1"/>
  </cols>
  <sheetData>
    <row r="1">
      <c r="A1" t="str">
        <v>Agios Theodoros — RTB Investor Model (PARK-RTB-2026)</v>
      </c>
    </row>
    <row r="2">
      <c r="A2" t="str">
        <v>Generated workbook — March 2026</v>
      </c>
    </row>
    <row r="3"/>
    <row r="4">
      <c r="A4" t="str">
        <v>PURPOSE</v>
      </c>
    </row>
    <row r="5">
      <c r="A5" t="str">
        <v>Indicative project economics for qualified investor discussion. Not an offer to sell securities.</v>
      </c>
    </row>
    <row r="6"/>
    <row r="7">
      <c r="A7" t="str">
        <v>KEY FEATURES</v>
      </c>
    </row>
    <row r="8">
      <c r="A8" t="str">
        <v>• Gross merchant revenue escalated annually; 10% aggregator/offtake fee on gross energy revenue.</v>
      </c>
    </row>
    <row r="9">
      <c r="A9" t="str">
        <v>• Operating costs: PV O&amp;M, BESS O&amp;M, other fixed O&amp;M, land lease (all may escalate).</v>
      </c>
    </row>
    <row r="10">
      <c r="A10" t="str">
        <v>• Depreciation (PV+BESS) and amortization (RTB+development) reduce taxable profit.</v>
      </c>
    </row>
    <row r="11">
      <c r="A11" t="str">
        <v>• Cyprus corporate income tax 15% applied to taxable profit (losses = no tax this period).</v>
      </c>
    </row>
    <row r="12">
      <c r="A12" t="str">
        <v>• Senior debt: annuity on loan principal; interest + principal from Debt_Schedule.</v>
      </c>
    </row>
    <row r="13">
      <c r="A13" t="str">
        <v>• Levered cash flow (equity) = Net income + D&amp;A − principal repayment (simplified, no WC).</v>
      </c>
    </row>
    <row r="14"/>
    <row r="15">
      <c r="A15" t="str">
        <v>RECONCILIATION TO PUBLIC SITE (solarfarms.cy)</v>
      </c>
    </row>
    <row r="16">
      <c r="A16" t="str">
        <v>Figures align with RTB page order of magnitude: €4.59M CAPEX stack, €2.27M debt, €2.32M equity,</v>
      </c>
    </row>
    <row r="17">
      <c r="A17" t="str">
        <v>~€1.05M Y1 gross revenue baseline — user must verify all inputs with signed contracts.</v>
      </c>
    </row>
    <row r="18"/>
    <row r="19">
      <c r="A19" t="str">
        <v>INDEPENDENT REVIEW</v>
      </c>
    </row>
    <row r="20">
      <c r="A20" t="str">
        <v>Investors should have tax and legal advisers. Model does not include VAT, withholding, or SDC on dividends.</v>
      </c>
    </row>
  </sheetData>
  <ignoredErrors>
    <ignoredError numberStoredAsText="1" sqref="A1:A20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23"/>
  <sheetViews>
    <sheetView workbookViewId="0"/>
  </sheetViews>
  <cols>
    <col min="1" max="1" width="48.83203125" customWidth="1"/>
    <col min="2" max="2" width="14.83203125" customWidth="1"/>
    <col min="3" max="3" width="42.83203125" customWidth="1"/>
  </cols>
  <sheetData>
    <row r="1">
      <c r="A1" t="str">
        <v>ASSUMPTIONS — Agios Theodoros RTB</v>
      </c>
    </row>
    <row r="3">
      <c r="A3" t="str">
        <v>Parameter</v>
      </c>
      <c r="B3" t="str">
        <v>Value</v>
      </c>
      <c r="C3" t="str">
        <v>Notes / unit</v>
      </c>
    </row>
    <row r="4">
      <c r="A4" t="str">
        <v>Gross annual energy revenue — Year 1 (EUR)</v>
      </c>
      <c r="B4" s="1">
        <v>1050000</v>
      </c>
      <c r="C4" t="str">
        <v>Merchant / blended DAM — editable</v>
      </c>
    </row>
    <row r="5">
      <c r="A5" t="str">
        <v>Aggregator / offtake fee (% of gross energy revenue)</v>
      </c>
      <c r="B5" s="2">
        <v>0.1</v>
      </c>
      <c r="C5" t="str">
        <v>Decimal, e.g. 0.10 = 10%</v>
      </c>
    </row>
    <row r="6">
      <c r="A6" t="str">
        <v>Corporate income tax rate (Cyprus CIT)</v>
      </c>
      <c r="B6" s="2">
        <v>0.15</v>
      </c>
      <c r="C6" t="str">
        <v>15% from 1 Jan 2026 — editable</v>
      </c>
    </row>
    <row r="7">
      <c r="A7" t="str">
        <v>Revenue escalation (% p.a.)</v>
      </c>
      <c r="B7" s="2">
        <v>0.02</v>
      </c>
      <c r="C7" t="str">
        <v>Applied to gross revenue</v>
      </c>
    </row>
    <row r="8">
      <c r="A8" t="str">
        <v>PV O&amp;M — Year 1 (EUR)</v>
      </c>
      <c r="B8" s="1">
        <v>40000</v>
      </c>
      <c r="C8" t="str">
        <v/>
      </c>
    </row>
    <row r="9">
      <c r="A9" t="str">
        <v>BESS O&amp;M — Year 1 (EUR)</v>
      </c>
      <c r="B9" s="1">
        <v>26000</v>
      </c>
      <c r="C9" t="str">
        <v/>
      </c>
    </row>
    <row r="10">
      <c r="A10" t="str">
        <v>Other fixed O&amp;M — Year 1 (EUR)</v>
      </c>
      <c r="B10" s="1">
        <v>38000</v>
      </c>
      <c r="C10" t="str">
        <v>Insurance, admin, misc.</v>
      </c>
    </row>
    <row r="11">
      <c r="A11" t="str">
        <v>OPEX escalation (% p.a.)</v>
      </c>
      <c r="B11" s="2">
        <v>0.02</v>
      </c>
      <c r="C11" t="str">
        <v>PV/BESS/Other O&amp;M</v>
      </c>
    </row>
    <row r="12">
      <c r="A12" t="str">
        <v>Land lease — Year 1 (EUR)</v>
      </c>
      <c r="B12" s="1">
        <v>18000</v>
      </c>
      <c r="C12" t="str">
        <v>Editable — verify lease deed</v>
      </c>
    </row>
    <row r="13">
      <c r="A13" t="str">
        <v>Land lease escalation (% p.a.)</v>
      </c>
      <c r="B13" s="2">
        <v>0.02</v>
      </c>
      <c r="C13" t="str">
        <v/>
      </c>
    </row>
    <row r="14">
      <c r="A14" t="str">
        <v>Depreciable base — PV + BESS (EUR)</v>
      </c>
      <c r="B14" s="1">
        <v>3240000</v>
      </c>
      <c r="C14" t="str">
        <v>€1.90M + €1.34M EPC stack</v>
      </c>
    </row>
    <row r="15">
      <c r="A15" t="str">
        <v>Depreciation period (years)</v>
      </c>
      <c r="B15" s="1">
        <v>20</v>
      </c>
      <c r="C15" t="str">
        <v>Straight-line for model</v>
      </c>
    </row>
    <row r="16">
      <c r="A16" t="str">
        <v>Amortizable — RTB acquisition + development (EUR)</v>
      </c>
      <c r="B16" s="1">
        <v>1350000</v>
      </c>
      <c r="C16" t="str">
        <v>€1.00M + €0.35M</v>
      </c>
    </row>
    <row r="17">
      <c r="A17" t="str">
        <v>Amortization period (years)</v>
      </c>
      <c r="B17" s="1">
        <v>15</v>
      </c>
      <c r="C17" t="str">
        <v>Straight-line for model</v>
      </c>
    </row>
    <row r="18">
      <c r="A18" t="str">
        <v>Senior loan principal (EUR)</v>
      </c>
      <c r="B18" s="1">
        <v>2270000</v>
      </c>
      <c r="C18" t="str">
        <v>70% of PV+BESS per site structure</v>
      </c>
    </row>
    <row r="19">
      <c r="A19" t="str">
        <v>Loan interest (annual, nominal)</v>
      </c>
      <c r="B19" s="2">
        <v>0.05</v>
      </c>
      <c r="C19" t="str">
        <v>Editable — replace with term sheet</v>
      </c>
    </row>
    <row r="20">
      <c r="A20" t="str">
        <v>Loan term (years)</v>
      </c>
      <c r="B20" s="1">
        <v>15</v>
      </c>
      <c r="C20" t="str">
        <v/>
      </c>
    </row>
    <row r="21">
      <c r="A21" t="str">
        <v>Total project CAPEX (EUR)</v>
      </c>
      <c r="B21" s="1">
        <v>4590000</v>
      </c>
      <c r="C21" t="str">
        <v>Reference total</v>
      </c>
    </row>
    <row r="22">
      <c r="A22" t="str">
        <v>Total equity funded (EUR)</v>
      </c>
      <c r="B22" s="1">
        <v>2320000</v>
      </c>
      <c r="C22" t="str">
        <v>Year 0 outflow for equity IRR</v>
      </c>
    </row>
    <row r="23">
      <c r="A23" t="str">
        <v>Discount rate for NPV (annual, equity hurdle)</v>
      </c>
      <c r="B23" s="2">
        <v>0.1</v>
      </c>
      <c r="C23" t="str">
        <v>Not the loan rate — investor required return (e.g. 10%)</v>
      </c>
    </row>
  </sheetData>
  <ignoredErrors>
    <ignoredError numberStoredAsText="1" sqref="A1:C23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18"/>
  <sheetViews>
    <sheetView workbookViewId="0"/>
  </sheetViews>
  <cols>
    <col min="1" max="1" width="8.83203125" customWidth="1"/>
    <col min="2" max="2" width="16.83203125" customWidth="1"/>
    <col min="3" max="3" width="14.83203125" customWidth="1"/>
    <col min="4" max="4" width="14.83203125" customWidth="1"/>
    <col min="5" max="5" width="18.83203125" customWidth="1"/>
    <col min="6" max="6" width="16.83203125" customWidth="1"/>
    <col min="7" max="7" width="4.83203125" customWidth="1"/>
    <col min="8" max="8" width="16.83203125" customWidth="1"/>
  </cols>
  <sheetData>
    <row r="1">
      <c r="A1" t="str">
        <v>Debt schedule — senior facility (formulas)</v>
      </c>
      <c r="H1" t="str">
        <v>Annual PMT (helper)</v>
      </c>
    </row>
    <row r="2">
      <c r="H2" s="3">
        <f>PMT(Assumptions!$B$19,Assumptions!$B$20,-Assumptions!$B$18)</f>
        <v>0</v>
      </c>
    </row>
    <row r="3">
      <c r="A3" t="str">
        <v>Year</v>
      </c>
      <c r="B3" t="str">
        <v>Opening balance</v>
      </c>
      <c r="C3" t="str">
        <v>Interest</v>
      </c>
      <c r="D3" t="str">
        <v>Principal</v>
      </c>
      <c r="E3" t="str">
        <v>Total debt service</v>
      </c>
      <c r="F3" t="str">
        <v>Closing balance</v>
      </c>
    </row>
    <row r="4">
      <c r="A4" s="1">
        <v>1</v>
      </c>
      <c r="B4" s="3">
        <f>Assumptions!$B$18</f>
        <v>0</v>
      </c>
      <c r="C4" s="3">
        <f>B4*Assumptions!$B$19</f>
        <v>0</v>
      </c>
      <c r="D4" s="3">
        <f>E4-C4</f>
        <v>0</v>
      </c>
      <c r="E4" s="3">
        <f>$H$2</f>
        <v>0</v>
      </c>
      <c r="F4" s="3">
        <f>B4-D4</f>
        <v>0</v>
      </c>
    </row>
    <row r="5">
      <c r="A5" s="1">
        <v>2</v>
      </c>
      <c r="B5" s="3">
        <f>F4</f>
        <v>0</v>
      </c>
      <c r="C5" s="3">
        <f>B5*Assumptions!$B$19</f>
        <v>0</v>
      </c>
      <c r="D5" s="3">
        <f>E5-C5</f>
        <v>0</v>
      </c>
      <c r="E5" s="3">
        <f>$H$2</f>
        <v>0</v>
      </c>
      <c r="F5" s="3">
        <f>B5-D5</f>
        <v>0</v>
      </c>
    </row>
    <row r="6">
      <c r="A6" s="1">
        <v>3</v>
      </c>
      <c r="B6" s="3">
        <f>F5</f>
        <v>0</v>
      </c>
      <c r="C6" s="3">
        <f>B6*Assumptions!$B$19</f>
        <v>0</v>
      </c>
      <c r="D6" s="3">
        <f>E6-C6</f>
        <v>0</v>
      </c>
      <c r="E6" s="3">
        <f>$H$2</f>
        <v>0</v>
      </c>
      <c r="F6" s="3">
        <f>B6-D6</f>
        <v>0</v>
      </c>
    </row>
    <row r="7">
      <c r="A7" s="1">
        <v>4</v>
      </c>
      <c r="B7" s="3">
        <f>F6</f>
        <v>0</v>
      </c>
      <c r="C7" s="3">
        <f>B7*Assumptions!$B$19</f>
        <v>0</v>
      </c>
      <c r="D7" s="3">
        <f>E7-C7</f>
        <v>0</v>
      </c>
      <c r="E7" s="3">
        <f>$H$2</f>
        <v>0</v>
      </c>
      <c r="F7" s="3">
        <f>B7-D7</f>
        <v>0</v>
      </c>
    </row>
    <row r="8">
      <c r="A8" s="1">
        <v>5</v>
      </c>
      <c r="B8" s="3">
        <f>F7</f>
        <v>0</v>
      </c>
      <c r="C8" s="3">
        <f>B8*Assumptions!$B$19</f>
        <v>0</v>
      </c>
      <c r="D8" s="3">
        <f>E8-C8</f>
        <v>0</v>
      </c>
      <c r="E8" s="3">
        <f>$H$2</f>
        <v>0</v>
      </c>
      <c r="F8" s="3">
        <f>B8-D8</f>
        <v>0</v>
      </c>
    </row>
    <row r="9">
      <c r="A9" s="1">
        <v>6</v>
      </c>
      <c r="B9" s="3">
        <f>F8</f>
        <v>0</v>
      </c>
      <c r="C9" s="3">
        <f>B9*Assumptions!$B$19</f>
        <v>0</v>
      </c>
      <c r="D9" s="3">
        <f>E9-C9</f>
        <v>0</v>
      </c>
      <c r="E9" s="3">
        <f>$H$2</f>
        <v>0</v>
      </c>
      <c r="F9" s="3">
        <f>B9-D9</f>
        <v>0</v>
      </c>
    </row>
    <row r="10">
      <c r="A10" s="1">
        <v>7</v>
      </c>
      <c r="B10" s="3">
        <f>F9</f>
        <v>0</v>
      </c>
      <c r="C10" s="3">
        <f>B10*Assumptions!$B$19</f>
        <v>0</v>
      </c>
      <c r="D10" s="3">
        <f>E10-C10</f>
        <v>0</v>
      </c>
      <c r="E10" s="3">
        <f>$H$2</f>
        <v>0</v>
      </c>
      <c r="F10" s="3">
        <f>B10-D10</f>
        <v>0</v>
      </c>
    </row>
    <row r="11">
      <c r="A11" s="1">
        <v>8</v>
      </c>
      <c r="B11" s="3">
        <f>F10</f>
        <v>0</v>
      </c>
      <c r="C11" s="3">
        <f>B11*Assumptions!$B$19</f>
        <v>0</v>
      </c>
      <c r="D11" s="3">
        <f>E11-C11</f>
        <v>0</v>
      </c>
      <c r="E11" s="3">
        <f>$H$2</f>
        <v>0</v>
      </c>
      <c r="F11" s="3">
        <f>B11-D11</f>
        <v>0</v>
      </c>
    </row>
    <row r="12">
      <c r="A12" s="1">
        <v>9</v>
      </c>
      <c r="B12" s="3">
        <f>F11</f>
        <v>0</v>
      </c>
      <c r="C12" s="3">
        <f>B12*Assumptions!$B$19</f>
        <v>0</v>
      </c>
      <c r="D12" s="3">
        <f>E12-C12</f>
        <v>0</v>
      </c>
      <c r="E12" s="3">
        <f>$H$2</f>
        <v>0</v>
      </c>
      <c r="F12" s="3">
        <f>B12-D12</f>
        <v>0</v>
      </c>
    </row>
    <row r="13">
      <c r="A13" s="1">
        <v>10</v>
      </c>
      <c r="B13" s="3">
        <f>F12</f>
        <v>0</v>
      </c>
      <c r="C13" s="3">
        <f>B13*Assumptions!$B$19</f>
        <v>0</v>
      </c>
      <c r="D13" s="3">
        <f>E13-C13</f>
        <v>0</v>
      </c>
      <c r="E13" s="3">
        <f>$H$2</f>
        <v>0</v>
      </c>
      <c r="F13" s="3">
        <f>B13-D13</f>
        <v>0</v>
      </c>
    </row>
    <row r="14">
      <c r="A14" s="1">
        <v>11</v>
      </c>
      <c r="B14" s="3">
        <f>F13</f>
        <v>0</v>
      </c>
      <c r="C14" s="3">
        <f>B14*Assumptions!$B$19</f>
        <v>0</v>
      </c>
      <c r="D14" s="3">
        <f>E14-C14</f>
        <v>0</v>
      </c>
      <c r="E14" s="3">
        <f>$H$2</f>
        <v>0</v>
      </c>
      <c r="F14" s="3">
        <f>B14-D14</f>
        <v>0</v>
      </c>
    </row>
    <row r="15">
      <c r="A15" s="1">
        <v>12</v>
      </c>
      <c r="B15" s="3">
        <f>F14</f>
        <v>0</v>
      </c>
      <c r="C15" s="3">
        <f>B15*Assumptions!$B$19</f>
        <v>0</v>
      </c>
      <c r="D15" s="3">
        <f>E15-C15</f>
        <v>0</v>
      </c>
      <c r="E15" s="3">
        <f>$H$2</f>
        <v>0</v>
      </c>
      <c r="F15" s="3">
        <f>B15-D15</f>
        <v>0</v>
      </c>
    </row>
    <row r="16">
      <c r="A16" s="1">
        <v>13</v>
      </c>
      <c r="B16" s="3">
        <f>F15</f>
        <v>0</v>
      </c>
      <c r="C16" s="3">
        <f>B16*Assumptions!$B$19</f>
        <v>0</v>
      </c>
      <c r="D16" s="3">
        <f>E16-C16</f>
        <v>0</v>
      </c>
      <c r="E16" s="3">
        <f>$H$2</f>
        <v>0</v>
      </c>
      <c r="F16" s="3">
        <f>B16-D16</f>
        <v>0</v>
      </c>
    </row>
    <row r="17">
      <c r="A17" s="1">
        <v>14</v>
      </c>
      <c r="B17" s="3">
        <f>F16</f>
        <v>0</v>
      </c>
      <c r="C17" s="3">
        <f>B17*Assumptions!$B$19</f>
        <v>0</v>
      </c>
      <c r="D17" s="3">
        <f>E17-C17</f>
        <v>0</v>
      </c>
      <c r="E17" s="3">
        <f>$H$2</f>
        <v>0</v>
      </c>
      <c r="F17" s="3">
        <f>B17-D17</f>
        <v>0</v>
      </c>
    </row>
    <row r="18">
      <c r="A18" s="1">
        <v>15</v>
      </c>
      <c r="B18" s="3">
        <f>F17</f>
        <v>0</v>
      </c>
      <c r="C18" s="3">
        <f>B18*Assumptions!$B$19</f>
        <v>0</v>
      </c>
      <c r="D18" s="3">
        <f>E18-C18</f>
        <v>0</v>
      </c>
      <c r="E18" s="3">
        <f>$H$2</f>
        <v>0</v>
      </c>
      <c r="F18" s="3">
        <f>B18-D18</f>
        <v>0</v>
      </c>
    </row>
  </sheetData>
  <ignoredErrors>
    <ignoredError numberStoredAsText="1" sqref="A1:H18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P29"/>
  <sheetViews>
    <sheetView workbookViewId="0"/>
  </sheetViews>
  <cols>
    <col min="1" max="1" width="42.83203125" customWidth="1"/>
    <col min="2" max="2" width="14.83203125" customWidth="1"/>
    <col min="3" max="3" width="14.83203125" customWidth="1"/>
    <col min="4" max="4" width="14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  <col min="10" max="10" width="14.83203125" customWidth="1"/>
    <col min="11" max="11" width="14.83203125" customWidth="1"/>
    <col min="12" max="12" width="14.83203125" customWidth="1"/>
    <col min="13" max="13" width="14.83203125" customWidth="1"/>
    <col min="14" max="14" width="14.83203125" customWidth="1"/>
    <col min="15" max="15" width="14.83203125" customWidth="1"/>
    <col min="16" max="16" width="14.83203125" customWidth="1"/>
    <col min="17" max="17" width="14.83203125" customWidth="1"/>
  </cols>
  <sheetData>
    <row r="1">
      <c r="A1" t="str">
        <v>ANNUAL MODEL — after-tax, levered (formulas)</v>
      </c>
    </row>
    <row r="4">
      <c r="A4" t="str">
        <v>Operating year #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</row>
    <row r="5">
      <c r="A5" t="str">
        <v>Gross energy revenue</v>
      </c>
      <c r="B5" s="3">
        <f>Assumptions!$B$4*POWER(1+Assumptions!$B$7,B4)</f>
        <v>0</v>
      </c>
      <c r="C5" s="3">
        <f>Assumptions!$B$4*POWER(1+Assumptions!$B$7,C4)</f>
        <v>0</v>
      </c>
      <c r="D5" s="3">
        <f>Assumptions!$B$4*POWER(1+Assumptions!$B$7,D4)</f>
        <v>0</v>
      </c>
      <c r="E5" s="3">
        <f>Assumptions!$B$4*POWER(1+Assumptions!$B$7,E4)</f>
        <v>0</v>
      </c>
      <c r="F5" s="3">
        <f>Assumptions!$B$4*POWER(1+Assumptions!$B$7,F4)</f>
        <v>0</v>
      </c>
      <c r="G5" s="3">
        <f>Assumptions!$B$4*POWER(1+Assumptions!$B$7,G4)</f>
        <v>0</v>
      </c>
      <c r="H5" s="3">
        <f>Assumptions!$B$4*POWER(1+Assumptions!$B$7,H4)</f>
        <v>0</v>
      </c>
      <c r="I5" s="3">
        <f>Assumptions!$B$4*POWER(1+Assumptions!$B$7,I4)</f>
        <v>0</v>
      </c>
      <c r="J5" s="3">
        <f>Assumptions!$B$4*POWER(1+Assumptions!$B$7,J4)</f>
        <v>0</v>
      </c>
      <c r="K5" s="3">
        <f>Assumptions!$B$4*POWER(1+Assumptions!$B$7,K4)</f>
        <v>0</v>
      </c>
      <c r="L5" s="3">
        <f>Assumptions!$B$4*POWER(1+Assumptions!$B$7,L4)</f>
        <v>0</v>
      </c>
      <c r="M5" s="3">
        <f>Assumptions!$B$4*POWER(1+Assumptions!$B$7,M4)</f>
        <v>0</v>
      </c>
      <c r="N5" s="3">
        <f>Assumptions!$B$4*POWER(1+Assumptions!$B$7,N4)</f>
        <v>0</v>
      </c>
      <c r="O5" s="3">
        <f>Assumptions!$B$4*POWER(1+Assumptions!$B$7,O4)</f>
        <v>0</v>
      </c>
      <c r="P5" s="3">
        <f>Assumptions!$B$4*POWER(1+Assumptions!$B$7,P4)</f>
        <v>0</v>
      </c>
    </row>
    <row r="6">
      <c r="A6" t="str">
        <v>Aggregator fee (% of gross — see Assumptions)</v>
      </c>
      <c r="B6" s="3">
        <f>B5*Assumptions!$B$5</f>
        <v>0</v>
      </c>
      <c r="C6" s="3">
        <f>C5*Assumptions!$B$5</f>
        <v>0</v>
      </c>
      <c r="D6" s="3">
        <f>D5*Assumptions!$B$5</f>
        <v>0</v>
      </c>
      <c r="E6" s="3">
        <f>E5*Assumptions!$B$5</f>
        <v>0</v>
      </c>
      <c r="F6" s="3">
        <f>F5*Assumptions!$B$5</f>
        <v>0</v>
      </c>
      <c r="G6" s="3">
        <f>G5*Assumptions!$B$5</f>
        <v>0</v>
      </c>
      <c r="H6" s="3">
        <f>H5*Assumptions!$B$5</f>
        <v>0</v>
      </c>
      <c r="I6" s="3">
        <f>I5*Assumptions!$B$5</f>
        <v>0</v>
      </c>
      <c r="J6" s="3">
        <f>J5*Assumptions!$B$5</f>
        <v>0</v>
      </c>
      <c r="K6" s="3">
        <f>K5*Assumptions!$B$5</f>
        <v>0</v>
      </c>
      <c r="L6" s="3">
        <f>L5*Assumptions!$B$5</f>
        <v>0</v>
      </c>
      <c r="M6" s="3">
        <f>M5*Assumptions!$B$5</f>
        <v>0</v>
      </c>
      <c r="N6" s="3">
        <f>N5*Assumptions!$B$5</f>
        <v>0</v>
      </c>
      <c r="O6" s="3">
        <f>O5*Assumptions!$B$5</f>
        <v>0</v>
      </c>
      <c r="P6" s="3">
        <f>P5*Assumptions!$B$5</f>
        <v>0</v>
      </c>
    </row>
    <row r="7">
      <c r="A7" t="str">
        <v>Net revenue after aggregator</v>
      </c>
      <c r="B7" s="3">
        <f>B5-B6</f>
        <v>0</v>
      </c>
      <c r="C7" s="3">
        <f>C5-C6</f>
        <v>0</v>
      </c>
      <c r="D7" s="3">
        <f>D5-D6</f>
        <v>0</v>
      </c>
      <c r="E7" s="3">
        <f>E5-E6</f>
        <v>0</v>
      </c>
      <c r="F7" s="3">
        <f>F5-F6</f>
        <v>0</v>
      </c>
      <c r="G7" s="3">
        <f>G5-G6</f>
        <v>0</v>
      </c>
      <c r="H7" s="3">
        <f>H5-H6</f>
        <v>0</v>
      </c>
      <c r="I7" s="3">
        <f>I5-I6</f>
        <v>0</v>
      </c>
      <c r="J7" s="3">
        <f>J5-J6</f>
        <v>0</v>
      </c>
      <c r="K7" s="3">
        <f>K5-K6</f>
        <v>0</v>
      </c>
      <c r="L7" s="3">
        <f>L5-L6</f>
        <v>0</v>
      </c>
      <c r="M7" s="3">
        <f>M5-M6</f>
        <v>0</v>
      </c>
      <c r="N7" s="3">
        <f>N5-N6</f>
        <v>0</v>
      </c>
      <c r="O7" s="3">
        <f>O5-O6</f>
        <v>0</v>
      </c>
      <c r="P7" s="3">
        <f>P5-P6</f>
        <v>0</v>
      </c>
    </row>
    <row r="8">
      <c r="A8" t="str">
        <v>PV O&amp;M</v>
      </c>
      <c r="B8" s="3">
        <f>Assumptions!$B$8*POWER(1+Assumptions!$B$11,B4)</f>
        <v>0</v>
      </c>
      <c r="C8" s="3">
        <f>Assumptions!$B$8*POWER(1+Assumptions!$B$11,C4)</f>
        <v>0</v>
      </c>
      <c r="D8" s="3">
        <f>Assumptions!$B$8*POWER(1+Assumptions!$B$11,D4)</f>
        <v>0</v>
      </c>
      <c r="E8" s="3">
        <f>Assumptions!$B$8*POWER(1+Assumptions!$B$11,E4)</f>
        <v>0</v>
      </c>
      <c r="F8" s="3">
        <f>Assumptions!$B$8*POWER(1+Assumptions!$B$11,F4)</f>
        <v>0</v>
      </c>
      <c r="G8" s="3">
        <f>Assumptions!$B$8*POWER(1+Assumptions!$B$11,G4)</f>
        <v>0</v>
      </c>
      <c r="H8" s="3">
        <f>Assumptions!$B$8*POWER(1+Assumptions!$B$11,H4)</f>
        <v>0</v>
      </c>
      <c r="I8" s="3">
        <f>Assumptions!$B$8*POWER(1+Assumptions!$B$11,I4)</f>
        <v>0</v>
      </c>
      <c r="J8" s="3">
        <f>Assumptions!$B$8*POWER(1+Assumptions!$B$11,J4)</f>
        <v>0</v>
      </c>
      <c r="K8" s="3">
        <f>Assumptions!$B$8*POWER(1+Assumptions!$B$11,K4)</f>
        <v>0</v>
      </c>
      <c r="L8" s="3">
        <f>Assumptions!$B$8*POWER(1+Assumptions!$B$11,L4)</f>
        <v>0</v>
      </c>
      <c r="M8" s="3">
        <f>Assumptions!$B$8*POWER(1+Assumptions!$B$11,M4)</f>
        <v>0</v>
      </c>
      <c r="N8" s="3">
        <f>Assumptions!$B$8*POWER(1+Assumptions!$B$11,N4)</f>
        <v>0</v>
      </c>
      <c r="O8" s="3">
        <f>Assumptions!$B$8*POWER(1+Assumptions!$B$11,O4)</f>
        <v>0</v>
      </c>
      <c r="P8" s="3">
        <f>Assumptions!$B$8*POWER(1+Assumptions!$B$11,P4)</f>
        <v>0</v>
      </c>
    </row>
    <row r="9">
      <c r="A9" t="str">
        <v>BESS O&amp;M</v>
      </c>
      <c r="B9" s="3">
        <f>Assumptions!$B$9*POWER(1+Assumptions!$B$11,B4)</f>
        <v>0</v>
      </c>
      <c r="C9" s="3">
        <f>Assumptions!$B$9*POWER(1+Assumptions!$B$11,C4)</f>
        <v>0</v>
      </c>
      <c r="D9" s="3">
        <f>Assumptions!$B$9*POWER(1+Assumptions!$B$11,D4)</f>
        <v>0</v>
      </c>
      <c r="E9" s="3">
        <f>Assumptions!$B$9*POWER(1+Assumptions!$B$11,E4)</f>
        <v>0</v>
      </c>
      <c r="F9" s="3">
        <f>Assumptions!$B$9*POWER(1+Assumptions!$B$11,F4)</f>
        <v>0</v>
      </c>
      <c r="G9" s="3">
        <f>Assumptions!$B$9*POWER(1+Assumptions!$B$11,G4)</f>
        <v>0</v>
      </c>
      <c r="H9" s="3">
        <f>Assumptions!$B$9*POWER(1+Assumptions!$B$11,H4)</f>
        <v>0</v>
      </c>
      <c r="I9" s="3">
        <f>Assumptions!$B$9*POWER(1+Assumptions!$B$11,I4)</f>
        <v>0</v>
      </c>
      <c r="J9" s="3">
        <f>Assumptions!$B$9*POWER(1+Assumptions!$B$11,J4)</f>
        <v>0</v>
      </c>
      <c r="K9" s="3">
        <f>Assumptions!$B$9*POWER(1+Assumptions!$B$11,K4)</f>
        <v>0</v>
      </c>
      <c r="L9" s="3">
        <f>Assumptions!$B$9*POWER(1+Assumptions!$B$11,L4)</f>
        <v>0</v>
      </c>
      <c r="M9" s="3">
        <f>Assumptions!$B$9*POWER(1+Assumptions!$B$11,M4)</f>
        <v>0</v>
      </c>
      <c r="N9" s="3">
        <f>Assumptions!$B$9*POWER(1+Assumptions!$B$11,N4)</f>
        <v>0</v>
      </c>
      <c r="O9" s="3">
        <f>Assumptions!$B$9*POWER(1+Assumptions!$B$11,O4)</f>
        <v>0</v>
      </c>
      <c r="P9" s="3">
        <f>Assumptions!$B$9*POWER(1+Assumptions!$B$11,P4)</f>
        <v>0</v>
      </c>
    </row>
    <row r="10">
      <c r="A10" t="str">
        <v>Other O&amp;M</v>
      </c>
      <c r="B10" s="3">
        <f>Assumptions!$B$10*POWER(1+Assumptions!$B$11,B4)</f>
        <v>0</v>
      </c>
      <c r="C10" s="3">
        <f>Assumptions!$B$10*POWER(1+Assumptions!$B$11,C4)</f>
        <v>0</v>
      </c>
      <c r="D10" s="3">
        <f>Assumptions!$B$10*POWER(1+Assumptions!$B$11,D4)</f>
        <v>0</v>
      </c>
      <c r="E10" s="3">
        <f>Assumptions!$B$10*POWER(1+Assumptions!$B$11,E4)</f>
        <v>0</v>
      </c>
      <c r="F10" s="3">
        <f>Assumptions!$B$10*POWER(1+Assumptions!$B$11,F4)</f>
        <v>0</v>
      </c>
      <c r="G10" s="3">
        <f>Assumptions!$B$10*POWER(1+Assumptions!$B$11,G4)</f>
        <v>0</v>
      </c>
      <c r="H10" s="3">
        <f>Assumptions!$B$10*POWER(1+Assumptions!$B$11,H4)</f>
        <v>0</v>
      </c>
      <c r="I10" s="3">
        <f>Assumptions!$B$10*POWER(1+Assumptions!$B$11,I4)</f>
        <v>0</v>
      </c>
      <c r="J10" s="3">
        <f>Assumptions!$B$10*POWER(1+Assumptions!$B$11,J4)</f>
        <v>0</v>
      </c>
      <c r="K10" s="3">
        <f>Assumptions!$B$10*POWER(1+Assumptions!$B$11,K4)</f>
        <v>0</v>
      </c>
      <c r="L10" s="3">
        <f>Assumptions!$B$10*POWER(1+Assumptions!$B$11,L4)</f>
        <v>0</v>
      </c>
      <c r="M10" s="3">
        <f>Assumptions!$B$10*POWER(1+Assumptions!$B$11,M4)</f>
        <v>0</v>
      </c>
      <c r="N10" s="3">
        <f>Assumptions!$B$10*POWER(1+Assumptions!$B$11,N4)</f>
        <v>0</v>
      </c>
      <c r="O10" s="3">
        <f>Assumptions!$B$10*POWER(1+Assumptions!$B$11,O4)</f>
        <v>0</v>
      </c>
      <c r="P10" s="3">
        <f>Assumptions!$B$10*POWER(1+Assumptions!$B$11,P4)</f>
        <v>0</v>
      </c>
    </row>
    <row r="11">
      <c r="A11" t="str">
        <v>Land lease</v>
      </c>
      <c r="B11" s="3">
        <f>Assumptions!$B$12*POWER(1+Assumptions!$B$13,B4)</f>
        <v>0</v>
      </c>
      <c r="C11" s="3">
        <f>Assumptions!$B$12*POWER(1+Assumptions!$B$13,C4)</f>
        <v>0</v>
      </c>
      <c r="D11" s="3">
        <f>Assumptions!$B$12*POWER(1+Assumptions!$B$13,D4)</f>
        <v>0</v>
      </c>
      <c r="E11" s="3">
        <f>Assumptions!$B$12*POWER(1+Assumptions!$B$13,E4)</f>
        <v>0</v>
      </c>
      <c r="F11" s="3">
        <f>Assumptions!$B$12*POWER(1+Assumptions!$B$13,F4)</f>
        <v>0</v>
      </c>
      <c r="G11" s="3">
        <f>Assumptions!$B$12*POWER(1+Assumptions!$B$13,G4)</f>
        <v>0</v>
      </c>
      <c r="H11" s="3">
        <f>Assumptions!$B$12*POWER(1+Assumptions!$B$13,H4)</f>
        <v>0</v>
      </c>
      <c r="I11" s="3">
        <f>Assumptions!$B$12*POWER(1+Assumptions!$B$13,I4)</f>
        <v>0</v>
      </c>
      <c r="J11" s="3">
        <f>Assumptions!$B$12*POWER(1+Assumptions!$B$13,J4)</f>
        <v>0</v>
      </c>
      <c r="K11" s="3">
        <f>Assumptions!$B$12*POWER(1+Assumptions!$B$13,K4)</f>
        <v>0</v>
      </c>
      <c r="L11" s="3">
        <f>Assumptions!$B$12*POWER(1+Assumptions!$B$13,L4)</f>
        <v>0</v>
      </c>
      <c r="M11" s="3">
        <f>Assumptions!$B$12*POWER(1+Assumptions!$B$13,M4)</f>
        <v>0</v>
      </c>
      <c r="N11" s="3">
        <f>Assumptions!$B$12*POWER(1+Assumptions!$B$13,N4)</f>
        <v>0</v>
      </c>
      <c r="O11" s="3">
        <f>Assumptions!$B$12*POWER(1+Assumptions!$B$13,O4)</f>
        <v>0</v>
      </c>
      <c r="P11" s="3">
        <f>Assumptions!$B$12*POWER(1+Assumptions!$B$13,P4)</f>
        <v>0</v>
      </c>
    </row>
    <row r="12">
      <c r="A12" t="str">
        <v>Total operating costs</v>
      </c>
      <c r="B12" s="3">
        <f>SUM(B8:B11)</f>
        <v>0</v>
      </c>
      <c r="C12" s="3">
        <f>SUM(C8:C11)</f>
        <v>0</v>
      </c>
      <c r="D12" s="3">
        <f>SUM(D8:D11)</f>
        <v>0</v>
      </c>
      <c r="E12" s="3">
        <f>SUM(E8:E11)</f>
        <v>0</v>
      </c>
      <c r="F12" s="3">
        <f>SUM(F8:F11)</f>
        <v>0</v>
      </c>
      <c r="G12" s="3">
        <f>SUM(G8:G11)</f>
        <v>0</v>
      </c>
      <c r="H12" s="3">
        <f>SUM(H8:H11)</f>
        <v>0</v>
      </c>
      <c r="I12" s="3">
        <f>SUM(I8:I11)</f>
        <v>0</v>
      </c>
      <c r="J12" s="3">
        <f>SUM(J8:J11)</f>
        <v>0</v>
      </c>
      <c r="K12" s="3">
        <f>SUM(K8:K11)</f>
        <v>0</v>
      </c>
      <c r="L12" s="3">
        <f>SUM(L8:L11)</f>
        <v>0</v>
      </c>
      <c r="M12" s="3">
        <f>SUM(M8:M11)</f>
        <v>0</v>
      </c>
      <c r="N12" s="3">
        <f>SUM(N8:N11)</f>
        <v>0</v>
      </c>
      <c r="O12" s="3">
        <f>SUM(O8:O11)</f>
        <v>0</v>
      </c>
      <c r="P12" s="3">
        <f>SUM(P8:P11)</f>
        <v>0</v>
      </c>
    </row>
    <row r="13">
      <c r="A13" t="str">
        <v>EBITDA</v>
      </c>
      <c r="B13" s="3">
        <f>B7-B12</f>
        <v>0</v>
      </c>
      <c r="C13" s="3">
        <f>C7-C12</f>
        <v>0</v>
      </c>
      <c r="D13" s="3">
        <f>D7-D12</f>
        <v>0</v>
      </c>
      <c r="E13" s="3">
        <f>E7-E12</f>
        <v>0</v>
      </c>
      <c r="F13" s="3">
        <f>F7-F12</f>
        <v>0</v>
      </c>
      <c r="G13" s="3">
        <f>G7-G12</f>
        <v>0</v>
      </c>
      <c r="H13" s="3">
        <f>H7-H12</f>
        <v>0</v>
      </c>
      <c r="I13" s="3">
        <f>I7-I12</f>
        <v>0</v>
      </c>
      <c r="J13" s="3">
        <f>J7-J12</f>
        <v>0</v>
      </c>
      <c r="K13" s="3">
        <f>K7-K12</f>
        <v>0</v>
      </c>
      <c r="L13" s="3">
        <f>L7-L12</f>
        <v>0</v>
      </c>
      <c r="M13" s="3">
        <f>M7-M12</f>
        <v>0</v>
      </c>
      <c r="N13" s="3">
        <f>N7-N12</f>
        <v>0</v>
      </c>
      <c r="O13" s="3">
        <f>O7-O12</f>
        <v>0</v>
      </c>
      <c r="P13" s="3">
        <f>P7-P12</f>
        <v>0</v>
      </c>
    </row>
    <row r="14">
      <c r="A14" t="str">
        <v>Depreciation (PV+BESS)</v>
      </c>
      <c r="B14" s="3">
        <f>Assumptions!$B$14/Assumptions!$B$15</f>
        <v>0</v>
      </c>
      <c r="C14" s="3">
        <f>Assumptions!$B$14/Assumptions!$B$15</f>
        <v>0</v>
      </c>
      <c r="D14" s="3">
        <f>Assumptions!$B$14/Assumptions!$B$15</f>
        <v>0</v>
      </c>
      <c r="E14" s="3">
        <f>Assumptions!$B$14/Assumptions!$B$15</f>
        <v>0</v>
      </c>
      <c r="F14" s="3">
        <f>Assumptions!$B$14/Assumptions!$B$15</f>
        <v>0</v>
      </c>
      <c r="G14" s="3">
        <f>Assumptions!$B$14/Assumptions!$B$15</f>
        <v>0</v>
      </c>
      <c r="H14" s="3">
        <f>Assumptions!$B$14/Assumptions!$B$15</f>
        <v>0</v>
      </c>
      <c r="I14" s="3">
        <f>Assumptions!$B$14/Assumptions!$B$15</f>
        <v>0</v>
      </c>
      <c r="J14" s="3">
        <f>Assumptions!$B$14/Assumptions!$B$15</f>
        <v>0</v>
      </c>
      <c r="K14" s="3">
        <f>Assumptions!$B$14/Assumptions!$B$15</f>
        <v>0</v>
      </c>
      <c r="L14" s="3">
        <f>Assumptions!$B$14/Assumptions!$B$15</f>
        <v>0</v>
      </c>
      <c r="M14" s="3">
        <f>Assumptions!$B$14/Assumptions!$B$15</f>
        <v>0</v>
      </c>
      <c r="N14" s="3">
        <f>Assumptions!$B$14/Assumptions!$B$15</f>
        <v>0</v>
      </c>
      <c r="O14" s="3">
        <f>Assumptions!$B$14/Assumptions!$B$15</f>
        <v>0</v>
      </c>
      <c r="P14" s="3">
        <f>Assumptions!$B$14/Assumptions!$B$15</f>
        <v>0</v>
      </c>
    </row>
    <row r="15">
      <c r="A15" t="str">
        <v>Amortization (RTB+dev)</v>
      </c>
      <c r="B15" s="3">
        <f>Assumptions!$B$16/Assumptions!$B$17</f>
        <v>0</v>
      </c>
      <c r="C15" s="3">
        <f>Assumptions!$B$16/Assumptions!$B$17</f>
        <v>0</v>
      </c>
      <c r="D15" s="3">
        <f>Assumptions!$B$16/Assumptions!$B$17</f>
        <v>0</v>
      </c>
      <c r="E15" s="3">
        <f>Assumptions!$B$16/Assumptions!$B$17</f>
        <v>0</v>
      </c>
      <c r="F15" s="3">
        <f>Assumptions!$B$16/Assumptions!$B$17</f>
        <v>0</v>
      </c>
      <c r="G15" s="3">
        <f>Assumptions!$B$16/Assumptions!$B$17</f>
        <v>0</v>
      </c>
      <c r="H15" s="3">
        <f>Assumptions!$B$16/Assumptions!$B$17</f>
        <v>0</v>
      </c>
      <c r="I15" s="3">
        <f>Assumptions!$B$16/Assumptions!$B$17</f>
        <v>0</v>
      </c>
      <c r="J15" s="3">
        <f>Assumptions!$B$16/Assumptions!$B$17</f>
        <v>0</v>
      </c>
      <c r="K15" s="3">
        <f>Assumptions!$B$16/Assumptions!$B$17</f>
        <v>0</v>
      </c>
      <c r="L15" s="3">
        <f>Assumptions!$B$16/Assumptions!$B$17</f>
        <v>0</v>
      </c>
      <c r="M15" s="3">
        <f>Assumptions!$B$16/Assumptions!$B$17</f>
        <v>0</v>
      </c>
      <c r="N15" s="3">
        <f>Assumptions!$B$16/Assumptions!$B$17</f>
        <v>0</v>
      </c>
      <c r="O15" s="3">
        <f>Assumptions!$B$16/Assumptions!$B$17</f>
        <v>0</v>
      </c>
      <c r="P15" s="3">
        <f>Assumptions!$B$16/Assumptions!$B$17</f>
        <v>0</v>
      </c>
    </row>
    <row r="16">
      <c r="A16" t="str">
        <v>EBIT</v>
      </c>
      <c r="B16" s="3">
        <f>B13-B14-B15</f>
        <v>0</v>
      </c>
      <c r="C16" s="3">
        <f>C13-C14-C15</f>
        <v>0</v>
      </c>
      <c r="D16" s="3">
        <f>D13-D14-D15</f>
        <v>0</v>
      </c>
      <c r="E16" s="3">
        <f>E13-E14-E15</f>
        <v>0</v>
      </c>
      <c r="F16" s="3">
        <f>F13-F14-F15</f>
        <v>0</v>
      </c>
      <c r="G16" s="3">
        <f>G13-G14-G15</f>
        <v>0</v>
      </c>
      <c r="H16" s="3">
        <f>H13-H14-H15</f>
        <v>0</v>
      </c>
      <c r="I16" s="3">
        <f>I13-I14-I15</f>
        <v>0</v>
      </c>
      <c r="J16" s="3">
        <f>J13-J14-J15</f>
        <v>0</v>
      </c>
      <c r="K16" s="3">
        <f>K13-K14-K15</f>
        <v>0</v>
      </c>
      <c r="L16" s="3">
        <f>L13-L14-L15</f>
        <v>0</v>
      </c>
      <c r="M16" s="3">
        <f>M13-M14-M15</f>
        <v>0</v>
      </c>
      <c r="N16" s="3">
        <f>N13-N14-N15</f>
        <v>0</v>
      </c>
      <c r="O16" s="3">
        <f>O13-O14-O15</f>
        <v>0</v>
      </c>
      <c r="P16" s="3">
        <f>P13-P14-P15</f>
        <v>0</v>
      </c>
    </row>
    <row r="17">
      <c r="A17" t="str">
        <v>Interest (senior debt)</v>
      </c>
      <c r="B17" s="3">
        <f>Debt_Schedule!C4</f>
        <v>0</v>
      </c>
      <c r="C17" s="3">
        <f>Debt_Schedule!C5</f>
        <v>0</v>
      </c>
      <c r="D17" s="3">
        <f>Debt_Schedule!C6</f>
        <v>0</v>
      </c>
      <c r="E17" s="3">
        <f>Debt_Schedule!C7</f>
        <v>0</v>
      </c>
      <c r="F17" s="3">
        <f>Debt_Schedule!C8</f>
        <v>0</v>
      </c>
      <c r="G17" s="3">
        <f>Debt_Schedule!C9</f>
        <v>0</v>
      </c>
      <c r="H17" s="3">
        <f>Debt_Schedule!C10</f>
        <v>0</v>
      </c>
      <c r="I17" s="3">
        <f>Debt_Schedule!C11</f>
        <v>0</v>
      </c>
      <c r="J17" s="3">
        <f>Debt_Schedule!C12</f>
        <v>0</v>
      </c>
      <c r="K17" s="3">
        <f>Debt_Schedule!C13</f>
        <v>0</v>
      </c>
      <c r="L17" s="3">
        <f>Debt_Schedule!C14</f>
        <v>0</v>
      </c>
      <c r="M17" s="3">
        <f>Debt_Schedule!C15</f>
        <v>0</v>
      </c>
      <c r="N17" s="3">
        <f>Debt_Schedule!C16</f>
        <v>0</v>
      </c>
      <c r="O17" s="3">
        <f>Debt_Schedule!C17</f>
        <v>0</v>
      </c>
      <c r="P17" s="3">
        <f>Debt_Schedule!C18</f>
        <v>0</v>
      </c>
    </row>
    <row r="18">
      <c r="A18" t="str">
        <v>Taxable profit (EBT)</v>
      </c>
      <c r="B18" s="3">
        <f>B16-B17</f>
        <v>0</v>
      </c>
      <c r="C18" s="3">
        <f>C16-C17</f>
        <v>0</v>
      </c>
      <c r="D18" s="3">
        <f>D16-D17</f>
        <v>0</v>
      </c>
      <c r="E18" s="3">
        <f>E16-E17</f>
        <v>0</v>
      </c>
      <c r="F18" s="3">
        <f>F16-F17</f>
        <v>0</v>
      </c>
      <c r="G18" s="3">
        <f>G16-G17</f>
        <v>0</v>
      </c>
      <c r="H18" s="3">
        <f>H16-H17</f>
        <v>0</v>
      </c>
      <c r="I18" s="3">
        <f>I16-I17</f>
        <v>0</v>
      </c>
      <c r="J18" s="3">
        <f>J16-J17</f>
        <v>0</v>
      </c>
      <c r="K18" s="3">
        <f>K16-K17</f>
        <v>0</v>
      </c>
      <c r="L18" s="3">
        <f>L16-L17</f>
        <v>0</v>
      </c>
      <c r="M18" s="3">
        <f>M16-M17</f>
        <v>0</v>
      </c>
      <c r="N18" s="3">
        <f>N16-N17</f>
        <v>0</v>
      </c>
      <c r="O18" s="3">
        <f>O16-O17</f>
        <v>0</v>
      </c>
      <c r="P18" s="3">
        <f>P16-P17</f>
        <v>0</v>
      </c>
    </row>
    <row r="19">
      <c r="A19" t="str">
        <v>Corporate income tax (15%)</v>
      </c>
      <c r="B19" s="3">
        <f>IF(B18&gt;0,B18*Assumptions!$B$6,0)</f>
        <v>0</v>
      </c>
      <c r="C19" s="3">
        <f>IF(C18&gt;0,C18*Assumptions!$B$6,0)</f>
        <v>0</v>
      </c>
      <c r="D19" s="3">
        <f>IF(D18&gt;0,D18*Assumptions!$B$6,0)</f>
        <v>0</v>
      </c>
      <c r="E19" s="3">
        <f>IF(E18&gt;0,E18*Assumptions!$B$6,0)</f>
        <v>0</v>
      </c>
      <c r="F19" s="3">
        <f>IF(F18&gt;0,F18*Assumptions!$B$6,0)</f>
        <v>0</v>
      </c>
      <c r="G19" s="3">
        <f>IF(G18&gt;0,G18*Assumptions!$B$6,0)</f>
        <v>0</v>
      </c>
      <c r="H19" s="3">
        <f>IF(H18&gt;0,H18*Assumptions!$B$6,0)</f>
        <v>0</v>
      </c>
      <c r="I19" s="3">
        <f>IF(I18&gt;0,I18*Assumptions!$B$6,0)</f>
        <v>0</v>
      </c>
      <c r="J19" s="3">
        <f>IF(J18&gt;0,J18*Assumptions!$B$6,0)</f>
        <v>0</v>
      </c>
      <c r="K19" s="3">
        <f>IF(K18&gt;0,K18*Assumptions!$B$6,0)</f>
        <v>0</v>
      </c>
      <c r="L19" s="3">
        <f>IF(L18&gt;0,L18*Assumptions!$B$6,0)</f>
        <v>0</v>
      </c>
      <c r="M19" s="3">
        <f>IF(M18&gt;0,M18*Assumptions!$B$6,0)</f>
        <v>0</v>
      </c>
      <c r="N19" s="3">
        <f>IF(N18&gt;0,N18*Assumptions!$B$6,0)</f>
        <v>0</v>
      </c>
      <c r="O19" s="3">
        <f>IF(O18&gt;0,O18*Assumptions!$B$6,0)</f>
        <v>0</v>
      </c>
      <c r="P19" s="3">
        <f>IF(P18&gt;0,P18*Assumptions!$B$6,0)</f>
        <v>0</v>
      </c>
    </row>
    <row r="20">
      <c r="A20" t="str">
        <v>Net income (after tax)</v>
      </c>
      <c r="B20" s="3">
        <f>B18-B19</f>
        <v>0</v>
      </c>
      <c r="C20" s="3">
        <f>C18-C19</f>
        <v>0</v>
      </c>
      <c r="D20" s="3">
        <f>D18-D19</f>
        <v>0</v>
      </c>
      <c r="E20" s="3">
        <f>E18-E19</f>
        <v>0</v>
      </c>
      <c r="F20" s="3">
        <f>F18-F19</f>
        <v>0</v>
      </c>
      <c r="G20" s="3">
        <f>G18-G19</f>
        <v>0</v>
      </c>
      <c r="H20" s="3">
        <f>H18-H19</f>
        <v>0</v>
      </c>
      <c r="I20" s="3">
        <f>I18-I19</f>
        <v>0</v>
      </c>
      <c r="J20" s="3">
        <f>J18-J19</f>
        <v>0</v>
      </c>
      <c r="K20" s="3">
        <f>K18-K19</f>
        <v>0</v>
      </c>
      <c r="L20" s="3">
        <f>L18-L19</f>
        <v>0</v>
      </c>
      <c r="M20" s="3">
        <f>M18-M19</f>
        <v>0</v>
      </c>
      <c r="N20" s="3">
        <f>N18-N19</f>
        <v>0</v>
      </c>
      <c r="O20" s="3">
        <f>O18-O19</f>
        <v>0</v>
      </c>
      <c r="P20" s="3">
        <f>P18-P19</f>
        <v>0</v>
      </c>
    </row>
    <row r="21">
      <c r="A21" t="str">
        <v>Add back: depreciation + amortization</v>
      </c>
      <c r="B21" s="3">
        <f>B14+B15</f>
        <v>0</v>
      </c>
      <c r="C21" s="3">
        <f>C14+C15</f>
        <v>0</v>
      </c>
      <c r="D21" s="3">
        <f>D14+D15</f>
        <v>0</v>
      </c>
      <c r="E21" s="3">
        <f>E14+E15</f>
        <v>0</v>
      </c>
      <c r="F21" s="3">
        <f>F14+F15</f>
        <v>0</v>
      </c>
      <c r="G21" s="3">
        <f>G14+G15</f>
        <v>0</v>
      </c>
      <c r="H21" s="3">
        <f>H14+H15</f>
        <v>0</v>
      </c>
      <c r="I21" s="3">
        <f>I14+I15</f>
        <v>0</v>
      </c>
      <c r="J21" s="3">
        <f>J14+J15</f>
        <v>0</v>
      </c>
      <c r="K21" s="3">
        <f>K14+K15</f>
        <v>0</v>
      </c>
      <c r="L21" s="3">
        <f>L14+L15</f>
        <v>0</v>
      </c>
      <c r="M21" s="3">
        <f>M14+M15</f>
        <v>0</v>
      </c>
      <c r="N21" s="3">
        <f>N14+N15</f>
        <v>0</v>
      </c>
      <c r="O21" s="3">
        <f>O14+O15</f>
        <v>0</v>
      </c>
      <c r="P21" s="3">
        <f>P14+P15</f>
        <v>0</v>
      </c>
    </row>
    <row r="22">
      <c r="A22" t="str">
        <v>Cash from operations (before principal)</v>
      </c>
      <c r="B22" s="3">
        <f>B20+B21</f>
        <v>0</v>
      </c>
      <c r="C22" s="3">
        <f>C20+C21</f>
        <v>0</v>
      </c>
      <c r="D22" s="3">
        <f>D20+D21</f>
        <v>0</v>
      </c>
      <c r="E22" s="3">
        <f>E20+E21</f>
        <v>0</v>
      </c>
      <c r="F22" s="3">
        <f>F20+F21</f>
        <v>0</v>
      </c>
      <c r="G22" s="3">
        <f>G20+G21</f>
        <v>0</v>
      </c>
      <c r="H22" s="3">
        <f>H20+H21</f>
        <v>0</v>
      </c>
      <c r="I22" s="3">
        <f>I20+I21</f>
        <v>0</v>
      </c>
      <c r="J22" s="3">
        <f>J20+J21</f>
        <v>0</v>
      </c>
      <c r="K22" s="3">
        <f>K20+K21</f>
        <v>0</v>
      </c>
      <c r="L22" s="3">
        <f>L20+L21</f>
        <v>0</v>
      </c>
      <c r="M22" s="3">
        <f>M20+M21</f>
        <v>0</v>
      </c>
      <c r="N22" s="3">
        <f>N20+N21</f>
        <v>0</v>
      </c>
      <c r="O22" s="3">
        <f>O20+O21</f>
        <v>0</v>
      </c>
      <c r="P22" s="3">
        <f>P20+P21</f>
        <v>0</v>
      </c>
    </row>
    <row r="23">
      <c r="A23" t="str">
        <v>Principal repayment (senior)</v>
      </c>
      <c r="B23" s="3">
        <f>Debt_Schedule!D4</f>
        <v>0</v>
      </c>
      <c r="C23" s="3">
        <f>Debt_Schedule!D5</f>
        <v>0</v>
      </c>
      <c r="D23" s="3">
        <f>Debt_Schedule!D6</f>
        <v>0</v>
      </c>
      <c r="E23" s="3">
        <f>Debt_Schedule!D7</f>
        <v>0</v>
      </c>
      <c r="F23" s="3">
        <f>Debt_Schedule!D8</f>
        <v>0</v>
      </c>
      <c r="G23" s="3">
        <f>Debt_Schedule!D9</f>
        <v>0</v>
      </c>
      <c r="H23" s="3">
        <f>Debt_Schedule!D10</f>
        <v>0</v>
      </c>
      <c r="I23" s="3">
        <f>Debt_Schedule!D11</f>
        <v>0</v>
      </c>
      <c r="J23" s="3">
        <f>Debt_Schedule!D12</f>
        <v>0</v>
      </c>
      <c r="K23" s="3">
        <f>Debt_Schedule!D13</f>
        <v>0</v>
      </c>
      <c r="L23" s="3">
        <f>Debt_Schedule!D14</f>
        <v>0</v>
      </c>
      <c r="M23" s="3">
        <f>Debt_Schedule!D15</f>
        <v>0</v>
      </c>
      <c r="N23" s="3">
        <f>Debt_Schedule!D16</f>
        <v>0</v>
      </c>
      <c r="O23" s="3">
        <f>Debt_Schedule!D17</f>
        <v>0</v>
      </c>
      <c r="P23" s="3">
        <f>Debt_Schedule!D18</f>
        <v>0</v>
      </c>
    </row>
    <row r="24">
      <c r="A24" t="str">
        <v>Levered cash flow to equity</v>
      </c>
      <c r="B24" s="3">
        <f>B22-B23</f>
        <v>0</v>
      </c>
      <c r="C24" s="3">
        <f>C22-C23</f>
        <v>0</v>
      </c>
      <c r="D24" s="3">
        <f>D22-D23</f>
        <v>0</v>
      </c>
      <c r="E24" s="3">
        <f>E22-E23</f>
        <v>0</v>
      </c>
      <c r="F24" s="3">
        <f>F22-F23</f>
        <v>0</v>
      </c>
      <c r="G24" s="3">
        <f>G22-G23</f>
        <v>0</v>
      </c>
      <c r="H24" s="3">
        <f>H22-H23</f>
        <v>0</v>
      </c>
      <c r="I24" s="3">
        <f>I22-I23</f>
        <v>0</v>
      </c>
      <c r="J24" s="3">
        <f>J22-J23</f>
        <v>0</v>
      </c>
      <c r="K24" s="3">
        <f>K22-K23</f>
        <v>0</v>
      </c>
      <c r="L24" s="3">
        <f>L22-L23</f>
        <v>0</v>
      </c>
      <c r="M24" s="3">
        <f>M22-M23</f>
        <v>0</v>
      </c>
      <c r="N24" s="3">
        <f>N22-N23</f>
        <v>0</v>
      </c>
      <c r="O24" s="3">
        <f>O22-O23</f>
        <v>0</v>
      </c>
      <c r="P24" s="3">
        <f>P22-P23</f>
        <v>0</v>
      </c>
    </row>
    <row r="26">
      <c r="A26" t="str">
        <v>Equity cash flow row for IRR / NPV (EUR)</v>
      </c>
    </row>
    <row r="27">
      <c r="A27" s="3">
        <f>-Assumptions!$B$22</f>
        <v>0</v>
      </c>
      <c r="B27" s="3">
        <f>B24</f>
        <v>0</v>
      </c>
      <c r="C27" s="3">
        <f>C24</f>
        <v>0</v>
      </c>
      <c r="D27" s="3">
        <f>D24</f>
        <v>0</v>
      </c>
      <c r="E27" s="3">
        <f>E24</f>
        <v>0</v>
      </c>
      <c r="F27" s="3">
        <f>F24</f>
        <v>0</v>
      </c>
      <c r="G27" s="3">
        <f>G24</f>
        <v>0</v>
      </c>
      <c r="H27" s="3">
        <f>H24</f>
        <v>0</v>
      </c>
      <c r="I27" s="3">
        <f>I24</f>
        <v>0</v>
      </c>
      <c r="J27" s="3">
        <f>J24</f>
        <v>0</v>
      </c>
      <c r="K27" s="3">
        <f>K24</f>
        <v>0</v>
      </c>
      <c r="L27" s="3">
        <f>L24</f>
        <v>0</v>
      </c>
      <c r="M27" s="3">
        <f>M24</f>
        <v>0</v>
      </c>
      <c r="N27" s="3">
        <f>N24</f>
        <v>0</v>
      </c>
      <c r="O27" s="3">
        <f>O24</f>
        <v>0</v>
      </c>
      <c r="P27" s="3">
        <f>P24</f>
        <v>0</v>
      </c>
    </row>
    <row r="28">
      <c r="A28" t="str">
        <v>Equity IRR</v>
      </c>
      <c r="B28" s="2">
        <f>IRR(A27:P27)</f>
        <v>0</v>
      </c>
    </row>
    <row r="29">
      <c r="A29" t="str">
        <v>Equity NPV (EUR)</v>
      </c>
      <c r="B29" s="3">
        <f>A27+NPV(Assumptions!$B$23,B27:P27)</f>
        <v>0</v>
      </c>
      <c r="C29" t="str">
        <v>CF0 + NPV — discount rate on Assumptions</v>
      </c>
    </row>
  </sheetData>
  <ignoredErrors>
    <ignoredError numberStoredAsText="1" sqref="A1:P29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D6"/>
  <sheetViews>
    <sheetView workbookViewId="0"/>
  </sheetViews>
  <sheetData>
    <row r="1">
      <c r="A1" t="str">
        <v>CHECKS</v>
      </c>
    </row>
    <row r="3">
      <c r="A3" t="str">
        <v>Total principal repaid (should = loan principal)</v>
      </c>
      <c r="B3" s="3">
        <f>SUM(Debt_Schedule!D4:Debt_Schedule!D18)</f>
        <v>0</v>
      </c>
      <c r="C3" t="str">
        <v>≈</v>
      </c>
      <c r="D3" s="3">
        <f>Assumptions!$B$18</f>
        <v>0</v>
      </c>
    </row>
    <row r="5">
      <c r="A5" t="str">
        <v>Y1 gross × (1 − aggregator fee)</v>
      </c>
      <c r="B5" s="3">
        <f>Assumptions!$B$4*(1-Assumptions!$B$5)</f>
        <v>0</v>
      </c>
      <c r="C5" t="str">
        <v>should match Annual_Model net revenue Y1</v>
      </c>
      <c r="D5" s="3">
        <f>Annual_Model!B7</f>
        <v>0</v>
      </c>
    </row>
  </sheetData>
  <ignoredErrors>
    <ignoredError numberStoredAsText="1" sqref="A1:D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Assumptions</vt:lpstr>
      <vt:lpstr>Debt_Schedule</vt:lpstr>
      <vt:lpstr>Annual_Model</vt:lpstr>
      <vt:lpstr>Checks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